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9180" windowHeight="4695"/>
  </bookViews>
  <sheets>
    <sheet name="Sheet1" sheetId="1" r:id="rId1"/>
  </sheets>
  <definedNames>
    <definedName name="_xlnm.Print_Area" localSheetId="0">Sheet1!$A$1:$Q$64</definedName>
  </definedNames>
  <calcPr calcId="145621"/>
</workbook>
</file>

<file path=xl/calcChain.xml><?xml version="1.0" encoding="utf-8"?>
<calcChain xmlns="http://schemas.openxmlformats.org/spreadsheetml/2006/main">
  <c r="C47" i="1" l="1"/>
  <c r="C48" i="1"/>
  <c r="C49" i="1"/>
  <c r="C50" i="1"/>
  <c r="C51" i="1"/>
  <c r="C52" i="1"/>
  <c r="C46" i="1"/>
  <c r="B47" i="1"/>
  <c r="B48" i="1"/>
  <c r="B49" i="1"/>
  <c r="B50" i="1"/>
  <c r="B51" i="1"/>
  <c r="B52" i="1"/>
  <c r="B46" i="1"/>
  <c r="O37" i="1" l="1"/>
  <c r="O33" i="1"/>
  <c r="K37" i="1" l="1"/>
  <c r="K33" i="1"/>
  <c r="G37" i="1"/>
  <c r="G33" i="1"/>
  <c r="C37" i="1"/>
  <c r="C33" i="1"/>
  <c r="O24" i="1"/>
  <c r="O20" i="1"/>
  <c r="K24" i="1"/>
  <c r="K20" i="1"/>
  <c r="G24" i="1"/>
  <c r="G20" i="1"/>
  <c r="C24" i="1"/>
  <c r="C20" i="1"/>
  <c r="O11" i="1"/>
  <c r="O7" i="1"/>
  <c r="K11" i="1"/>
  <c r="K7" i="1"/>
  <c r="G11" i="1"/>
  <c r="G7" i="1"/>
  <c r="C11" i="1"/>
  <c r="C7" i="1"/>
  <c r="N33" i="1" l="1"/>
  <c r="J37" i="1"/>
  <c r="J33" i="1"/>
  <c r="F33" i="1"/>
  <c r="B37" i="1"/>
  <c r="B33" i="1"/>
  <c r="N24" i="1"/>
  <c r="N20" i="1"/>
  <c r="J24" i="1"/>
  <c r="J20" i="1"/>
  <c r="F24" i="1"/>
  <c r="F20" i="1"/>
  <c r="B24" i="1"/>
  <c r="B20" i="1"/>
  <c r="N11" i="1"/>
  <c r="N7" i="1"/>
  <c r="J11" i="1"/>
  <c r="J7" i="1"/>
  <c r="F11" i="1"/>
  <c r="F7" i="1"/>
  <c r="B11" i="1"/>
  <c r="B7" i="1"/>
  <c r="H12" i="1" l="1"/>
  <c r="L7" i="1" l="1"/>
  <c r="L8" i="1"/>
  <c r="L9" i="1"/>
  <c r="L10" i="1"/>
  <c r="L11" i="1"/>
  <c r="L12" i="1"/>
  <c r="L13" i="1"/>
  <c r="P38" i="1" l="1"/>
  <c r="D52" i="1" l="1"/>
  <c r="E52" i="1" s="1"/>
  <c r="D46" i="1"/>
  <c r="E46" i="1" s="1"/>
  <c r="D47" i="1"/>
  <c r="E47" i="1" s="1"/>
  <c r="D48" i="1"/>
  <c r="E48" i="1" s="1"/>
  <c r="D51" i="1"/>
  <c r="E51" i="1" s="1"/>
  <c r="P33" i="1"/>
  <c r="Q33" i="1" s="1"/>
  <c r="O41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33" i="1"/>
  <c r="E33" i="1" s="1"/>
  <c r="H13" i="1"/>
  <c r="I13" i="1" s="1"/>
  <c r="I12" i="1"/>
  <c r="H11" i="1"/>
  <c r="I11" i="1" s="1"/>
  <c r="H10" i="1"/>
  <c r="I10" i="1" s="1"/>
  <c r="H9" i="1"/>
  <c r="I9" i="1" s="1"/>
  <c r="H8" i="1"/>
  <c r="I8" i="1" s="1"/>
  <c r="H7" i="1"/>
  <c r="I7" i="1" s="1"/>
  <c r="N41" i="1"/>
  <c r="J41" i="1"/>
  <c r="F41" i="1"/>
  <c r="B41" i="1"/>
  <c r="N28" i="1"/>
  <c r="J28" i="1"/>
  <c r="F28" i="1"/>
  <c r="B28" i="1"/>
  <c r="N15" i="1"/>
  <c r="J15" i="1"/>
  <c r="F15" i="1"/>
  <c r="B15" i="1"/>
  <c r="K41" i="1"/>
  <c r="G41" i="1"/>
  <c r="C41" i="1"/>
  <c r="O28" i="1"/>
  <c r="K28" i="1"/>
  <c r="G28" i="1"/>
  <c r="C28" i="1"/>
  <c r="O15" i="1"/>
  <c r="K15" i="1"/>
  <c r="G15" i="1"/>
  <c r="C15" i="1"/>
  <c r="P39" i="1"/>
  <c r="Q39" i="1" s="1"/>
  <c r="L39" i="1"/>
  <c r="M39" i="1" s="1"/>
  <c r="H39" i="1"/>
  <c r="I3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L25" i="1"/>
  <c r="M25" i="1" s="1"/>
  <c r="H25" i="1"/>
  <c r="I25" i="1" s="1"/>
  <c r="D25" i="1"/>
  <c r="E25" i="1" s="1"/>
  <c r="Q38" i="1"/>
  <c r="L38" i="1"/>
  <c r="M38" i="1" s="1"/>
  <c r="H38" i="1"/>
  <c r="I38" i="1" s="1"/>
  <c r="P37" i="1"/>
  <c r="Q37" i="1" s="1"/>
  <c r="L37" i="1"/>
  <c r="M37" i="1" s="1"/>
  <c r="H37" i="1"/>
  <c r="I37" i="1" s="1"/>
  <c r="P36" i="1"/>
  <c r="Q36" i="1" s="1"/>
  <c r="L36" i="1"/>
  <c r="M36" i="1" s="1"/>
  <c r="H36" i="1"/>
  <c r="I36" i="1" s="1"/>
  <c r="P35" i="1"/>
  <c r="Q35" i="1" s="1"/>
  <c r="L35" i="1"/>
  <c r="M35" i="1" s="1"/>
  <c r="H35" i="1"/>
  <c r="I35" i="1" s="1"/>
  <c r="P34" i="1"/>
  <c r="Q34" i="1" s="1"/>
  <c r="L34" i="1"/>
  <c r="M34" i="1" s="1"/>
  <c r="H34" i="1"/>
  <c r="I34" i="1" s="1"/>
  <c r="L33" i="1"/>
  <c r="M33" i="1" s="1"/>
  <c r="H33" i="1"/>
  <c r="I33" i="1" s="1"/>
  <c r="L26" i="1"/>
  <c r="M26" i="1" s="1"/>
  <c r="H26" i="1"/>
  <c r="I26" i="1" s="1"/>
  <c r="D26" i="1"/>
  <c r="E26" i="1" s="1"/>
  <c r="L24" i="1"/>
  <c r="M24" i="1" s="1"/>
  <c r="H24" i="1"/>
  <c r="I24" i="1" s="1"/>
  <c r="D24" i="1"/>
  <c r="E24" i="1" s="1"/>
  <c r="L23" i="1"/>
  <c r="M23" i="1" s="1"/>
  <c r="H23" i="1"/>
  <c r="I23" i="1" s="1"/>
  <c r="D23" i="1"/>
  <c r="E23" i="1" s="1"/>
  <c r="L22" i="1"/>
  <c r="M22" i="1" s="1"/>
  <c r="H22" i="1"/>
  <c r="I22" i="1" s="1"/>
  <c r="D22" i="1"/>
  <c r="E22" i="1" s="1"/>
  <c r="L21" i="1"/>
  <c r="M21" i="1" s="1"/>
  <c r="H21" i="1"/>
  <c r="I21" i="1" s="1"/>
  <c r="D21" i="1"/>
  <c r="E21" i="1" s="1"/>
  <c r="L20" i="1"/>
  <c r="M20" i="1" s="1"/>
  <c r="H20" i="1"/>
  <c r="I20" i="1" s="1"/>
  <c r="D20" i="1"/>
  <c r="E20" i="1" s="1"/>
  <c r="P13" i="1"/>
  <c r="Q13" i="1" s="1"/>
  <c r="M13" i="1"/>
  <c r="D13" i="1"/>
  <c r="E13" i="1" s="1"/>
  <c r="P12" i="1"/>
  <c r="Q12" i="1" s="1"/>
  <c r="M12" i="1"/>
  <c r="D12" i="1"/>
  <c r="E12" i="1" s="1"/>
  <c r="P11" i="1"/>
  <c r="Q11" i="1" s="1"/>
  <c r="M11" i="1"/>
  <c r="D11" i="1"/>
  <c r="E11" i="1" s="1"/>
  <c r="P10" i="1"/>
  <c r="Q10" i="1" s="1"/>
  <c r="M10" i="1"/>
  <c r="D10" i="1"/>
  <c r="E10" i="1" s="1"/>
  <c r="P9" i="1"/>
  <c r="Q9" i="1" s="1"/>
  <c r="M9" i="1"/>
  <c r="D9" i="1"/>
  <c r="E9" i="1" s="1"/>
  <c r="P8" i="1"/>
  <c r="Q8" i="1" s="1"/>
  <c r="M8" i="1"/>
  <c r="D8" i="1"/>
  <c r="E8" i="1" s="1"/>
  <c r="P7" i="1"/>
  <c r="Q7" i="1" s="1"/>
  <c r="M7" i="1"/>
  <c r="D7" i="1"/>
  <c r="E7" i="1" s="1"/>
  <c r="C54" i="1" l="1"/>
  <c r="L15" i="1"/>
  <c r="M15" i="1" s="1"/>
  <c r="P41" i="1"/>
  <c r="Q41" i="1" s="1"/>
  <c r="L41" i="1"/>
  <c r="M41" i="1" s="1"/>
  <c r="B54" i="1"/>
  <c r="H15" i="1"/>
  <c r="I15" i="1" s="1"/>
  <c r="P28" i="1"/>
  <c r="Q28" i="1" s="1"/>
  <c r="H28" i="1"/>
  <c r="I28" i="1" s="1"/>
  <c r="P15" i="1"/>
  <c r="Q15" i="1" s="1"/>
  <c r="D49" i="1"/>
  <c r="E49" i="1" s="1"/>
  <c r="H41" i="1"/>
  <c r="I41" i="1" s="1"/>
  <c r="D41" i="1"/>
  <c r="E41" i="1" s="1"/>
  <c r="L28" i="1"/>
  <c r="M28" i="1" s="1"/>
  <c r="D28" i="1"/>
  <c r="E28" i="1" s="1"/>
  <c r="D50" i="1"/>
  <c r="E50" i="1" s="1"/>
  <c r="D15" i="1"/>
  <c r="E15" i="1" s="1"/>
  <c r="D54" i="1" l="1"/>
  <c r="E54" i="1" s="1"/>
</calcChain>
</file>

<file path=xl/sharedStrings.xml><?xml version="1.0" encoding="utf-8"?>
<sst xmlns="http://schemas.openxmlformats.org/spreadsheetml/2006/main" count="78" uniqueCount="30">
  <si>
    <t>ΜΕΤΑΒΟΛΗ</t>
  </si>
  <si>
    <t>ΑΡ.</t>
  </si>
  <si>
    <t>%</t>
  </si>
  <si>
    <t xml:space="preserve">          Ι Α Ν Ο Υ Α Ρ Ι Ο Σ</t>
  </si>
  <si>
    <t xml:space="preserve">       Φ Ε Β Ρ Ο Υ Α Ρ Ι Ο Σ</t>
  </si>
  <si>
    <t xml:space="preserve">       Μ Α Ρ Τ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</si>
  <si>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</si>
  <si>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</si>
  <si>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</si>
  <si>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</si>
  <si>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</si>
  <si>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</si>
  <si>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</si>
  <si>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</si>
  <si>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</si>
  <si>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</si>
  <si>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</si>
  <si>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 xml:space="preserve">   </t>
  </si>
  <si>
    <t>ΗΛΙΚΙΑ</t>
  </si>
  <si>
    <t>25-29</t>
  </si>
  <si>
    <t>30-39</t>
  </si>
  <si>
    <t>40-49</t>
  </si>
  <si>
    <t>60-64</t>
  </si>
  <si>
    <t>ΑΝΩ ΤΩΝ 65</t>
  </si>
  <si>
    <t>Πίνακας 7</t>
  </si>
  <si>
    <t xml:space="preserve">    ΜΕΣΟΣ ΟΡΟΣ 12 ΜΗΝΩΝ</t>
  </si>
  <si>
    <t>15-24</t>
  </si>
  <si>
    <t>50-59</t>
  </si>
  <si>
    <t>graphs data sheet</t>
  </si>
  <si>
    <t>ΣΥΓΚΡΙΤΙΚΟΣ ΠΙΝΑΚΑΣ ΓΡΑΜΜΕΝΩΝ ΑΝΕΡΓΩΝ ΚΑΤΑ ΗΛΙΚΙΑ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</si>
</sst>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</font>
    <font>
      <sz val="8"/>
      <name val="Arial"/>
      <family val="2"/>
      <charset val="161"/>
    </font>
    <font>
      <b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/>
    <xf numFmtId="3" fontId="3" fillId="2" borderId="0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2" fillId="2" borderId="0" xfId="0" quotePrefix="1" applyFont="1" applyFill="1" applyAlignment="1">
      <alignment horizontal="left"/>
    </xf>
    <xf numFmtId="0" fontId="3" fillId="2" borderId="0" xfId="0" applyFont="1" applyFill="1"/>
    <xf numFmtId="0" fontId="3" fillId="2" borderId="0" xfId="0" quotePrefix="1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quotePrefix="1" applyFont="1" applyFill="1" applyBorder="1" applyAlignment="1">
      <alignment horizontal="left"/>
    </xf>
    <xf numFmtId="0" fontId="3" fillId="2" borderId="8" xfId="0" applyFont="1" applyFill="1" applyBorder="1"/>
    <xf numFmtId="0" fontId="3" fillId="2" borderId="7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3" fillId="2" borderId="8" xfId="0" applyNumberFormat="1" applyFont="1" applyFill="1" applyBorder="1" applyAlignment="1">
      <alignment horizontal="right"/>
    </xf>
    <xf numFmtId="0" fontId="3" fillId="2" borderId="7" xfId="0" quotePrefix="1" applyFont="1" applyFill="1" applyBorder="1" applyAlignment="1">
      <alignment horizontal="left"/>
    </xf>
    <xf numFmtId="9" fontId="3" fillId="2" borderId="0" xfId="0" applyNumberFormat="1" applyFont="1" applyFill="1" applyBorder="1"/>
    <xf numFmtId="9" fontId="3" fillId="2" borderId="8" xfId="0" applyNumberFormat="1" applyFont="1" applyFill="1" applyBorder="1"/>
    <xf numFmtId="0" fontId="2" fillId="2" borderId="8" xfId="0" applyFont="1" applyFill="1" applyBorder="1"/>
    <xf numFmtId="164" fontId="2" fillId="2" borderId="0" xfId="0" applyNumberFormat="1" applyFont="1" applyFill="1" applyBorder="1"/>
    <xf numFmtId="0" fontId="2" fillId="2" borderId="7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quotePrefix="1" applyFont="1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0" xfId="0" applyFill="1" applyBorder="1" applyAlignment="1"/>
    <xf numFmtId="0" fontId="0" fillId="2" borderId="0" xfId="0" applyFill="1" applyAlignment="1"/>
    <xf numFmtId="0" fontId="2" fillId="2" borderId="0" xfId="0" applyFont="1" applyFill="1" applyAlignment="1"/>
    <xf numFmtId="0" fontId="3" fillId="2" borderId="0" xfId="0" applyFont="1" applyFill="1" applyBorder="1" applyAlignment="1"/>
    <xf numFmtId="3" fontId="3" fillId="2" borderId="0" xfId="0" applyNumberFormat="1" applyFont="1" applyFill="1" applyAlignment="1"/>
    <xf numFmtId="3" fontId="2" fillId="2" borderId="0" xfId="0" applyNumberFormat="1" applyFont="1" applyFill="1" applyBorder="1"/>
    <xf numFmtId="3" fontId="3" fillId="0" borderId="0" xfId="0" applyNumberFormat="1" applyFont="1" applyFill="1" applyBorder="1"/>
    <xf numFmtId="9" fontId="3" fillId="0" borderId="0" xfId="0" applyNumberFormat="1" applyFont="1" applyFill="1" applyBorder="1"/>
    <xf numFmtId="3" fontId="2" fillId="0" borderId="0" xfId="0" applyNumberFormat="1" applyFont="1"/>
    <xf numFmtId="9" fontId="2" fillId="0" borderId="0" xfId="1" applyFont="1"/>
    <xf numFmtId="9" fontId="3" fillId="2" borderId="0" xfId="1" applyFont="1" applyFill="1" applyBorder="1"/>
    <xf numFmtId="9" fontId="2" fillId="2" borderId="0" xfId="1" applyFont="1" applyFill="1" applyBorder="1"/>
    <xf numFmtId="1" fontId="2" fillId="2" borderId="0" xfId="0" applyNumberFormat="1" applyFont="1" applyFill="1" applyBorder="1"/>
    <xf numFmtId="3" fontId="3" fillId="0" borderId="0" xfId="0" applyNumberFormat="1" applyFont="1"/>
    <xf numFmtId="0" fontId="3" fillId="2" borderId="6" xfId="0" applyFont="1" applyFill="1" applyBorder="1"/>
    <xf numFmtId="3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0" borderId="0" xfId="0" applyFont="1" applyBorder="1"/>
    <xf numFmtId="3" fontId="6" fillId="2" borderId="0" xfId="0" applyNumberFormat="1" applyFont="1" applyFill="1" applyBorder="1"/>
    <xf numFmtId="9" fontId="6" fillId="2" borderId="0" xfId="0" applyNumberFormat="1" applyFont="1" applyFill="1" applyBorder="1"/>
    <xf numFmtId="3" fontId="5" fillId="0" borderId="9" xfId="0" applyNumberFormat="1" applyFont="1" applyBorder="1"/>
    <xf numFmtId="3" fontId="5" fillId="0" borderId="9" xfId="0" applyNumberFormat="1" applyFont="1" applyFill="1" applyBorder="1"/>
    <xf numFmtId="3" fontId="3" fillId="2" borderId="9" xfId="0" applyNumberFormat="1" applyFont="1" applyFill="1" applyBorder="1"/>
    <xf numFmtId="3" fontId="0" fillId="0" borderId="9" xfId="0" applyNumberFormat="1" applyBorder="1"/>
    <xf numFmtId="3" fontId="0" fillId="0" borderId="9" xfId="0" applyNumberForma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4"/>
  <sheetViews>
    <sheetView tabSelected="1" workbookViewId="0">
      <selection activeCell="I50" sqref="I50"/>
    </sheetView>
  </sheetViews>
  <sheetFormatPr defaultColWidth="18.7109375" defaultRowHeight="11.25" x14ac:dyDescent="0.2"/>
  <cols>
    <col min="1" max="1" width="11.7109375" style="2" customWidth="1"/>
    <col min="2" max="2" width="7.5703125" style="2" customWidth="1"/>
    <col min="3" max="3" width="6.28515625" style="2" customWidth="1"/>
    <col min="4" max="4" width="6.85546875" style="2" customWidth="1"/>
    <col min="5" max="5" width="7.7109375" style="2" customWidth="1"/>
    <col min="6" max="7" width="7.140625" style="2" customWidth="1"/>
    <col min="8" max="8" width="6.7109375" style="2" customWidth="1"/>
    <col min="9" max="9" width="7" style="2" customWidth="1"/>
    <col min="10" max="10" width="5.85546875" style="2" customWidth="1"/>
    <col min="11" max="11" width="6.42578125" style="2" customWidth="1"/>
    <col min="12" max="12" width="7.28515625" style="2" customWidth="1"/>
    <col min="13" max="13" width="6" style="2" bestFit="1" customWidth="1"/>
    <col min="14" max="14" width="6" style="2" customWidth="1"/>
    <col min="15" max="15" width="7.7109375" style="2" customWidth="1"/>
    <col min="16" max="16" width="7.42578125" style="2" customWidth="1"/>
    <col min="17" max="17" width="7" style="2" customWidth="1"/>
    <col min="18" max="20" width="5.7109375" style="2" customWidth="1"/>
    <col min="21" max="21" width="7" style="2" customWidth="1"/>
    <col min="22" max="16384" width="18.7109375" style="2"/>
  </cols>
  <sheetData>
    <row r="1" spans="1:22" x14ac:dyDescent="0.2">
      <c r="A1" s="7" t="s">
        <v>24</v>
      </c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5"/>
    </row>
    <row r="2" spans="1:22" s="1" customFormat="1" ht="12" thickBot="1" x14ac:dyDescent="0.25">
      <c r="A2" s="11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"/>
    </row>
    <row r="3" spans="1:22" s="1" customFormat="1" x14ac:dyDescent="0.2">
      <c r="A3" s="12" t="s">
        <v>18</v>
      </c>
      <c r="B3" s="14">
        <v>2019</v>
      </c>
      <c r="C3" s="14">
        <v>2020</v>
      </c>
      <c r="D3" s="13" t="s">
        <v>0</v>
      </c>
      <c r="E3" s="13"/>
      <c r="F3" s="14">
        <v>2019</v>
      </c>
      <c r="G3" s="14">
        <v>2020</v>
      </c>
      <c r="H3" s="13" t="s">
        <v>0</v>
      </c>
      <c r="I3" s="13"/>
      <c r="J3" s="14">
        <v>2019</v>
      </c>
      <c r="K3" s="14">
        <v>2020</v>
      </c>
      <c r="L3" s="13" t="s">
        <v>0</v>
      </c>
      <c r="M3" s="13"/>
      <c r="N3" s="14">
        <v>2019</v>
      </c>
      <c r="O3" s="14">
        <v>2020</v>
      </c>
      <c r="P3" s="13" t="s">
        <v>0</v>
      </c>
      <c r="Q3" s="54"/>
      <c r="R3" s="8"/>
    </row>
    <row r="4" spans="1:22" s="1" customFormat="1" ht="12" thickBot="1" x14ac:dyDescent="0.25">
      <c r="A4" s="15"/>
      <c r="B4" s="16"/>
      <c r="C4" s="16"/>
      <c r="D4" s="16" t="s">
        <v>1</v>
      </c>
      <c r="E4" s="16" t="s">
        <v>2</v>
      </c>
      <c r="F4" s="16"/>
      <c r="G4" s="16"/>
      <c r="H4" s="16" t="s">
        <v>1</v>
      </c>
      <c r="I4" s="16" t="s">
        <v>2</v>
      </c>
      <c r="J4" s="16"/>
      <c r="K4" s="16"/>
      <c r="L4" s="16" t="s">
        <v>1</v>
      </c>
      <c r="M4" s="16" t="s">
        <v>2</v>
      </c>
      <c r="N4" s="16"/>
      <c r="O4" s="16"/>
      <c r="P4" s="16" t="s">
        <v>1</v>
      </c>
      <c r="Q4" s="17" t="s">
        <v>2</v>
      </c>
      <c r="R4" s="8"/>
    </row>
    <row r="5" spans="1:22" s="1" customForma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8"/>
      <c r="T5" s="3"/>
    </row>
    <row r="6" spans="1:22" s="1" customFormat="1" x14ac:dyDescent="0.2">
      <c r="A6" s="21"/>
      <c r="B6" s="23" t="s">
        <v>3</v>
      </c>
      <c r="C6" s="22"/>
      <c r="D6" s="22"/>
      <c r="E6" s="22"/>
      <c r="F6" s="23" t="s">
        <v>4</v>
      </c>
      <c r="G6" s="22"/>
      <c r="H6" s="22"/>
      <c r="I6" s="22"/>
      <c r="J6" s="22"/>
      <c r="K6" s="23" t="s">
        <v>5</v>
      </c>
      <c r="L6" s="22"/>
      <c r="M6" s="22"/>
      <c r="N6" s="22"/>
      <c r="O6" s="23" t="s">
        <v>6</v>
      </c>
      <c r="P6" s="22"/>
      <c r="Q6" s="24"/>
      <c r="R6" s="8"/>
    </row>
    <row r="7" spans="1:22" s="1" customFormat="1" ht="12.75" x14ac:dyDescent="0.2">
      <c r="A7" s="21" t="s">
        <v>26</v>
      </c>
      <c r="B7" s="63">
        <f>174+1828</f>
        <v>2002</v>
      </c>
      <c r="C7" s="63">
        <f>1411+142</f>
        <v>1553</v>
      </c>
      <c r="D7" s="26">
        <f t="shared" ref="D7:D13" si="0">C7-B7</f>
        <v>-449</v>
      </c>
      <c r="E7" s="27">
        <f t="shared" ref="E7:E13" si="1">D7/B7</f>
        <v>-0.22427572427572429</v>
      </c>
      <c r="F7" s="63">
        <f>155+1753</f>
        <v>1908</v>
      </c>
      <c r="G7" s="63">
        <f>147+1362</f>
        <v>1509</v>
      </c>
      <c r="H7" s="26">
        <f t="shared" ref="H7:H13" si="2">G7-F7</f>
        <v>-399</v>
      </c>
      <c r="I7" s="27">
        <f t="shared" ref="I7:I13" si="3">H7/F7</f>
        <v>-0.20911949685534592</v>
      </c>
      <c r="J7" s="63">
        <f>124+1459</f>
        <v>1583</v>
      </c>
      <c r="K7" s="63">
        <f>144+1411</f>
        <v>1555</v>
      </c>
      <c r="L7" s="26">
        <f t="shared" ref="L7:L15" si="4">K7-J7</f>
        <v>-28</v>
      </c>
      <c r="M7" s="27">
        <f t="shared" ref="M7:M13" si="5">L7/J7</f>
        <v>-1.7687934301958308E-2</v>
      </c>
      <c r="N7" s="63">
        <f>980+85</f>
        <v>1065</v>
      </c>
      <c r="O7" s="63">
        <f>140+1589</f>
        <v>1729</v>
      </c>
      <c r="P7" s="26">
        <f t="shared" ref="P7:P13" si="6">O7-N7</f>
        <v>664</v>
      </c>
      <c r="Q7" s="28">
        <f t="shared" ref="Q7:Q13" si="7">P7/N7</f>
        <v>0.62347417840375585</v>
      </c>
      <c r="R7" s="8"/>
    </row>
    <row r="8" spans="1:22" s="1" customFormat="1" ht="12.75" x14ac:dyDescent="0.2">
      <c r="A8" s="21" t="s">
        <v>19</v>
      </c>
      <c r="B8" s="64">
        <v>3885</v>
      </c>
      <c r="C8" s="64">
        <v>3257</v>
      </c>
      <c r="D8" s="26">
        <f t="shared" si="0"/>
        <v>-628</v>
      </c>
      <c r="E8" s="27">
        <f t="shared" si="1"/>
        <v>-0.16164736164736165</v>
      </c>
      <c r="F8" s="64">
        <v>3792</v>
      </c>
      <c r="G8" s="64">
        <v>3191</v>
      </c>
      <c r="H8" s="26">
        <f t="shared" si="2"/>
        <v>-601</v>
      </c>
      <c r="I8" s="27">
        <f t="shared" si="3"/>
        <v>-0.15849156118143459</v>
      </c>
      <c r="J8" s="64">
        <v>3382</v>
      </c>
      <c r="K8" s="64">
        <v>3375</v>
      </c>
      <c r="L8" s="26">
        <f t="shared" si="4"/>
        <v>-7</v>
      </c>
      <c r="M8" s="27">
        <f t="shared" si="5"/>
        <v>-2.0697811945594325E-3</v>
      </c>
      <c r="N8" s="64">
        <v>2512</v>
      </c>
      <c r="O8" s="64">
        <v>3820</v>
      </c>
      <c r="P8" s="26">
        <f t="shared" si="6"/>
        <v>1308</v>
      </c>
      <c r="Q8" s="28">
        <f t="shared" si="7"/>
        <v>0.52070063694267521</v>
      </c>
      <c r="R8" s="8"/>
    </row>
    <row r="9" spans="1:22" s="1" customFormat="1" ht="12.75" x14ac:dyDescent="0.2">
      <c r="A9" s="25" t="s">
        <v>20</v>
      </c>
      <c r="B9" s="64">
        <v>8112</v>
      </c>
      <c r="C9" s="64">
        <v>6759</v>
      </c>
      <c r="D9" s="26">
        <f t="shared" si="0"/>
        <v>-1353</v>
      </c>
      <c r="E9" s="27">
        <f t="shared" si="1"/>
        <v>-0.16678994082840237</v>
      </c>
      <c r="F9" s="64">
        <v>7715</v>
      </c>
      <c r="G9" s="64">
        <v>6656</v>
      </c>
      <c r="H9" s="26">
        <f t="shared" si="2"/>
        <v>-1059</v>
      </c>
      <c r="I9" s="27">
        <f t="shared" si="3"/>
        <v>-0.1372650680492547</v>
      </c>
      <c r="J9" s="64">
        <v>6867</v>
      </c>
      <c r="K9" s="64">
        <v>6990</v>
      </c>
      <c r="L9" s="26">
        <f t="shared" si="4"/>
        <v>123</v>
      </c>
      <c r="M9" s="27">
        <f t="shared" si="5"/>
        <v>1.7911751856705984E-2</v>
      </c>
      <c r="N9" s="64">
        <v>5317</v>
      </c>
      <c r="O9" s="64">
        <v>7653</v>
      </c>
      <c r="P9" s="26">
        <f t="shared" si="6"/>
        <v>2336</v>
      </c>
      <c r="Q9" s="28">
        <f t="shared" si="7"/>
        <v>0.43934549558021441</v>
      </c>
      <c r="R9" s="8"/>
    </row>
    <row r="10" spans="1:22" s="1" customFormat="1" ht="12.75" x14ac:dyDescent="0.2">
      <c r="A10" s="25" t="s">
        <v>21</v>
      </c>
      <c r="B10" s="64">
        <v>6617</v>
      </c>
      <c r="C10" s="64">
        <v>5874</v>
      </c>
      <c r="D10" s="26">
        <f t="shared" si="0"/>
        <v>-743</v>
      </c>
      <c r="E10" s="27">
        <f t="shared" si="1"/>
        <v>-0.11228653468339127</v>
      </c>
      <c r="F10" s="64">
        <v>6361</v>
      </c>
      <c r="G10" s="64">
        <v>5700</v>
      </c>
      <c r="H10" s="26">
        <f t="shared" si="2"/>
        <v>-661</v>
      </c>
      <c r="I10" s="27">
        <f t="shared" si="3"/>
        <v>-0.10391447885552586</v>
      </c>
      <c r="J10" s="64">
        <v>5573</v>
      </c>
      <c r="K10" s="64">
        <v>5790</v>
      </c>
      <c r="L10" s="26">
        <f t="shared" si="4"/>
        <v>217</v>
      </c>
      <c r="M10" s="27">
        <f t="shared" si="5"/>
        <v>3.8937735510497042E-2</v>
      </c>
      <c r="N10" s="64">
        <v>4088</v>
      </c>
      <c r="O10" s="64">
        <v>6252</v>
      </c>
      <c r="P10" s="26">
        <f t="shared" si="6"/>
        <v>2164</v>
      </c>
      <c r="Q10" s="28">
        <f t="shared" si="7"/>
        <v>0.52935420743639927</v>
      </c>
      <c r="R10" s="8"/>
      <c r="U10" s="53"/>
    </row>
    <row r="11" spans="1:22" s="1" customFormat="1" ht="12.75" x14ac:dyDescent="0.2">
      <c r="A11" s="25" t="s">
        <v>27</v>
      </c>
      <c r="B11" s="63">
        <f>3453+3757</f>
        <v>7210</v>
      </c>
      <c r="C11" s="63">
        <f>2929+3113</f>
        <v>6042</v>
      </c>
      <c r="D11" s="26">
        <f t="shared" si="0"/>
        <v>-1168</v>
      </c>
      <c r="E11" s="27">
        <f t="shared" si="1"/>
        <v>-0.16199722607489597</v>
      </c>
      <c r="F11" s="63">
        <f>3281+3623</f>
        <v>6904</v>
      </c>
      <c r="G11" s="63">
        <f>2860+2981</f>
        <v>5841</v>
      </c>
      <c r="H11" s="26">
        <f t="shared" si="2"/>
        <v>-1063</v>
      </c>
      <c r="I11" s="27">
        <f t="shared" si="3"/>
        <v>-0.15396871378910776</v>
      </c>
      <c r="J11" s="63">
        <f>2921+3309</f>
        <v>6230</v>
      </c>
      <c r="K11" s="63">
        <f>2888+2951</f>
        <v>5839</v>
      </c>
      <c r="L11" s="26">
        <f t="shared" si="4"/>
        <v>-391</v>
      </c>
      <c r="M11" s="27">
        <f t="shared" si="5"/>
        <v>-6.2760834670947035E-2</v>
      </c>
      <c r="N11" s="63">
        <f>2231+2644</f>
        <v>4875</v>
      </c>
      <c r="O11" s="63">
        <f>3079+3088</f>
        <v>6167</v>
      </c>
      <c r="P11" s="26">
        <f t="shared" si="6"/>
        <v>1292</v>
      </c>
      <c r="Q11" s="28">
        <f t="shared" si="7"/>
        <v>0.26502564102564102</v>
      </c>
      <c r="R11" s="8"/>
      <c r="V11" s="53"/>
    </row>
    <row r="12" spans="1:22" s="1" customFormat="1" ht="12.75" x14ac:dyDescent="0.2">
      <c r="A12" s="25" t="s">
        <v>22</v>
      </c>
      <c r="B12" s="64">
        <v>2934</v>
      </c>
      <c r="C12" s="64">
        <v>2564</v>
      </c>
      <c r="D12" s="26">
        <f t="shared" si="0"/>
        <v>-370</v>
      </c>
      <c r="E12" s="27">
        <f t="shared" si="1"/>
        <v>-0.12610770279481937</v>
      </c>
      <c r="F12" s="64">
        <v>2883</v>
      </c>
      <c r="G12" s="64">
        <v>2544</v>
      </c>
      <c r="H12" s="26">
        <f t="shared" si="2"/>
        <v>-339</v>
      </c>
      <c r="I12" s="27">
        <f t="shared" si="3"/>
        <v>-0.11758584807492195</v>
      </c>
      <c r="J12" s="64">
        <v>2696</v>
      </c>
      <c r="K12" s="64">
        <v>2611</v>
      </c>
      <c r="L12" s="26">
        <f t="shared" si="4"/>
        <v>-85</v>
      </c>
      <c r="M12" s="27">
        <f t="shared" si="5"/>
        <v>-3.1528189910979228E-2</v>
      </c>
      <c r="N12" s="64">
        <v>2307</v>
      </c>
      <c r="O12" s="64">
        <v>2755</v>
      </c>
      <c r="P12" s="26">
        <f t="shared" si="6"/>
        <v>448</v>
      </c>
      <c r="Q12" s="28">
        <f t="shared" si="7"/>
        <v>0.19419159081057652</v>
      </c>
      <c r="R12" s="8"/>
    </row>
    <row r="13" spans="1:22" s="1" customFormat="1" ht="12.75" x14ac:dyDescent="0.2">
      <c r="A13" s="25" t="s">
        <v>23</v>
      </c>
      <c r="B13" s="64">
        <v>191</v>
      </c>
      <c r="C13" s="64">
        <v>165</v>
      </c>
      <c r="D13" s="26">
        <f t="shared" si="0"/>
        <v>-26</v>
      </c>
      <c r="E13" s="27">
        <f t="shared" si="1"/>
        <v>-0.13612565445026178</v>
      </c>
      <c r="F13" s="64">
        <v>188</v>
      </c>
      <c r="G13" s="64">
        <v>179</v>
      </c>
      <c r="H13" s="26">
        <f t="shared" si="2"/>
        <v>-9</v>
      </c>
      <c r="I13" s="27">
        <f t="shared" si="3"/>
        <v>-4.7872340425531915E-2</v>
      </c>
      <c r="J13" s="64">
        <v>177</v>
      </c>
      <c r="K13" s="64">
        <v>193</v>
      </c>
      <c r="L13" s="26">
        <f t="shared" si="4"/>
        <v>16</v>
      </c>
      <c r="M13" s="27">
        <f t="shared" si="5"/>
        <v>9.03954802259887E-2</v>
      </c>
      <c r="N13" s="64">
        <v>151</v>
      </c>
      <c r="O13" s="64">
        <v>215</v>
      </c>
      <c r="P13" s="26">
        <f t="shared" si="6"/>
        <v>64</v>
      </c>
      <c r="Q13" s="28">
        <f t="shared" si="7"/>
        <v>0.42384105960264901</v>
      </c>
      <c r="R13" s="8"/>
    </row>
    <row r="14" spans="1:22" s="1" customFormat="1" x14ac:dyDescent="0.2">
      <c r="A14" s="21"/>
      <c r="B14" s="26"/>
      <c r="C14" s="26"/>
      <c r="D14" s="26" t="s">
        <v>7</v>
      </c>
      <c r="E14" s="27" t="s">
        <v>7</v>
      </c>
      <c r="F14" s="26"/>
      <c r="G14" s="26"/>
      <c r="H14" s="26" t="s">
        <v>7</v>
      </c>
      <c r="I14" s="27" t="s">
        <v>7</v>
      </c>
      <c r="J14" s="26"/>
      <c r="K14" s="26"/>
      <c r="L14" s="26"/>
      <c r="M14" s="27" t="s">
        <v>7</v>
      </c>
      <c r="N14" s="26"/>
      <c r="O14" s="26"/>
      <c r="P14" s="26" t="s">
        <v>7</v>
      </c>
      <c r="Q14" s="28" t="s">
        <v>7</v>
      </c>
      <c r="R14" s="8"/>
    </row>
    <row r="15" spans="1:22" s="1" customFormat="1" x14ac:dyDescent="0.2">
      <c r="A15" s="21" t="s">
        <v>8</v>
      </c>
      <c r="B15" s="26">
        <f>SUM(B7:B14)</f>
        <v>30951</v>
      </c>
      <c r="C15" s="26">
        <f>SUM(C7:C14)</f>
        <v>26214</v>
      </c>
      <c r="D15" s="26">
        <f>C15-B15</f>
        <v>-4737</v>
      </c>
      <c r="E15" s="27">
        <f>D15/B15</f>
        <v>-0.15304836677328681</v>
      </c>
      <c r="F15" s="26">
        <f>SUM(F7:F14)</f>
        <v>29751</v>
      </c>
      <c r="G15" s="26">
        <f>SUM(G7:G14)</f>
        <v>25620</v>
      </c>
      <c r="H15" s="26">
        <f>G15-F15</f>
        <v>-4131</v>
      </c>
      <c r="I15" s="27">
        <f>H15/F15</f>
        <v>-0.13885247554704044</v>
      </c>
      <c r="J15" s="26">
        <f>SUM(J7:J14)</f>
        <v>26508</v>
      </c>
      <c r="K15" s="26">
        <f>SUM(K7:K14)</f>
        <v>26353</v>
      </c>
      <c r="L15" s="26">
        <f t="shared" si="4"/>
        <v>-155</v>
      </c>
      <c r="M15" s="27">
        <f>L15/J15</f>
        <v>-5.8472913837332129E-3</v>
      </c>
      <c r="N15" s="26">
        <f>SUM(N7:N14)</f>
        <v>20315</v>
      </c>
      <c r="O15" s="26">
        <f>SUM(O7:O14)</f>
        <v>28591</v>
      </c>
      <c r="P15" s="26">
        <f>O15-N15</f>
        <v>8276</v>
      </c>
      <c r="Q15" s="28">
        <f>P15/N15</f>
        <v>0.4073837066207236</v>
      </c>
      <c r="R15" s="8"/>
      <c r="V15" s="3"/>
    </row>
    <row r="16" spans="1:22" s="1" customFormat="1" x14ac:dyDescent="0.2">
      <c r="A16" s="21"/>
      <c r="B16" s="22"/>
      <c r="C16" s="4"/>
      <c r="D16" s="4"/>
      <c r="E16" s="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4"/>
      <c r="R16" s="8"/>
      <c r="V16" s="22"/>
    </row>
    <row r="17" spans="1:22" s="1" customFormat="1" x14ac:dyDescent="0.2">
      <c r="A17" s="21"/>
      <c r="B17" s="6"/>
      <c r="C17" s="6"/>
      <c r="D17" s="4"/>
      <c r="E17" s="4"/>
      <c r="F17" s="6"/>
      <c r="G17" s="6"/>
      <c r="H17" s="4"/>
      <c r="I17" s="4"/>
      <c r="J17" s="6"/>
      <c r="K17" s="6"/>
      <c r="L17" s="22"/>
      <c r="M17" s="22"/>
      <c r="N17" s="6"/>
      <c r="O17" s="6"/>
      <c r="P17" s="22"/>
      <c r="Q17" s="24"/>
      <c r="R17" s="8"/>
      <c r="V17" s="22"/>
    </row>
    <row r="18" spans="1:22" s="1" customFormat="1" x14ac:dyDescent="0.2">
      <c r="A18" s="29"/>
      <c r="B18" s="22"/>
      <c r="C18" s="22"/>
      <c r="D18" s="50"/>
      <c r="E18" s="4"/>
      <c r="F18" s="22"/>
      <c r="G18" s="22"/>
      <c r="H18" s="22"/>
      <c r="I18" s="22"/>
      <c r="J18" s="22"/>
      <c r="K18" s="22"/>
      <c r="L18" s="22"/>
      <c r="M18" s="4"/>
      <c r="N18" s="4"/>
      <c r="O18" s="4"/>
      <c r="P18" s="22"/>
      <c r="Q18" s="24"/>
      <c r="R18" s="8"/>
      <c r="V18" s="56"/>
    </row>
    <row r="19" spans="1:22" s="1" customFormat="1" x14ac:dyDescent="0.2">
      <c r="A19" s="21"/>
      <c r="B19" s="22"/>
      <c r="C19" s="23" t="s">
        <v>9</v>
      </c>
      <c r="D19" s="22"/>
      <c r="E19" s="22"/>
      <c r="F19" s="22"/>
      <c r="G19" s="22" t="s">
        <v>10</v>
      </c>
      <c r="H19" s="22"/>
      <c r="I19" s="22"/>
      <c r="J19" s="22"/>
      <c r="K19" s="22" t="s">
        <v>11</v>
      </c>
      <c r="L19" s="22"/>
      <c r="M19" s="22"/>
      <c r="N19" s="22" t="s">
        <v>12</v>
      </c>
      <c r="O19" s="22"/>
      <c r="P19" s="22"/>
      <c r="Q19" s="24"/>
      <c r="R19" s="8"/>
      <c r="V19" s="56"/>
    </row>
    <row r="20" spans="1:22" s="1" customFormat="1" ht="12.75" x14ac:dyDescent="0.2">
      <c r="A20" s="21" t="s">
        <v>26</v>
      </c>
      <c r="B20" s="63">
        <f>58+797</f>
        <v>855</v>
      </c>
      <c r="C20" s="63">
        <f>136+1684</f>
        <v>1820</v>
      </c>
      <c r="D20" s="4">
        <f t="shared" ref="D20:D26" si="8">C20-B20</f>
        <v>965</v>
      </c>
      <c r="E20" s="30">
        <f t="shared" ref="E20:E26" si="9">D20/B20</f>
        <v>1.128654970760234</v>
      </c>
      <c r="F20" s="63">
        <f>62+803</f>
        <v>865</v>
      </c>
      <c r="G20" s="63">
        <f>121+1752</f>
        <v>1873</v>
      </c>
      <c r="H20" s="4">
        <f t="shared" ref="H20:H26" si="10">G20-F20</f>
        <v>1008</v>
      </c>
      <c r="I20" s="30">
        <f t="shared" ref="I20:I26" si="11">H20/F20</f>
        <v>1.1653179190751446</v>
      </c>
      <c r="J20" s="63">
        <f>71+866</f>
        <v>937</v>
      </c>
      <c r="K20" s="63">
        <f>118+1807</f>
        <v>1925</v>
      </c>
      <c r="L20" s="4">
        <f t="shared" ref="L20:L26" si="12">K20-J20</f>
        <v>988</v>
      </c>
      <c r="M20" s="30">
        <f t="shared" ref="M20:M26" si="13">L20/J20</f>
        <v>1.0544290288153682</v>
      </c>
      <c r="N20" s="63">
        <f>51+899</f>
        <v>950</v>
      </c>
      <c r="O20" s="63">
        <f>115+1838</f>
        <v>1953</v>
      </c>
      <c r="P20" s="4">
        <f t="shared" ref="P20:P28" si="14">O20-N20</f>
        <v>1003</v>
      </c>
      <c r="Q20" s="31">
        <f t="shared" ref="Q20:Q28" si="15">P20/N20</f>
        <v>1.0557894736842106</v>
      </c>
      <c r="R20" s="8"/>
      <c r="V20" s="56"/>
    </row>
    <row r="21" spans="1:22" ht="12.75" x14ac:dyDescent="0.2">
      <c r="A21" s="21" t="s">
        <v>19</v>
      </c>
      <c r="B21" s="64">
        <v>2089</v>
      </c>
      <c r="C21" s="64">
        <v>4016</v>
      </c>
      <c r="D21" s="4">
        <f t="shared" si="8"/>
        <v>1927</v>
      </c>
      <c r="E21" s="30">
        <f t="shared" si="9"/>
        <v>0.92245093346098617</v>
      </c>
      <c r="F21" s="64">
        <v>2260</v>
      </c>
      <c r="G21" s="64">
        <v>4195</v>
      </c>
      <c r="H21" s="4">
        <f t="shared" si="10"/>
        <v>1935</v>
      </c>
      <c r="I21" s="30">
        <f t="shared" si="11"/>
        <v>0.85619469026548678</v>
      </c>
      <c r="J21" s="64">
        <v>2588</v>
      </c>
      <c r="K21" s="64">
        <v>4395</v>
      </c>
      <c r="L21" s="4">
        <f t="shared" si="12"/>
        <v>1807</v>
      </c>
      <c r="M21" s="30">
        <f t="shared" si="13"/>
        <v>0.69822256568778984</v>
      </c>
      <c r="N21" s="64">
        <v>2528</v>
      </c>
      <c r="O21" s="64">
        <v>4655</v>
      </c>
      <c r="P21" s="4">
        <f t="shared" si="14"/>
        <v>2127</v>
      </c>
      <c r="Q21" s="31">
        <f t="shared" si="15"/>
        <v>0.841376582278481</v>
      </c>
      <c r="R21" s="10"/>
      <c r="V21" s="56"/>
    </row>
    <row r="22" spans="1:22" ht="12.75" x14ac:dyDescent="0.2">
      <c r="A22" s="25" t="s">
        <v>20</v>
      </c>
      <c r="B22" s="64">
        <v>4649</v>
      </c>
      <c r="C22" s="64">
        <v>7970</v>
      </c>
      <c r="D22" s="4">
        <f t="shared" si="8"/>
        <v>3321</v>
      </c>
      <c r="E22" s="30">
        <f t="shared" si="9"/>
        <v>0.71434717143471715</v>
      </c>
      <c r="F22" s="64">
        <v>5554</v>
      </c>
      <c r="G22" s="64">
        <v>8705</v>
      </c>
      <c r="H22" s="4">
        <f t="shared" si="10"/>
        <v>3151</v>
      </c>
      <c r="I22" s="30">
        <f t="shared" si="11"/>
        <v>0.56733885487936619</v>
      </c>
      <c r="J22" s="64">
        <v>6199</v>
      </c>
      <c r="K22" s="64">
        <v>9372</v>
      </c>
      <c r="L22" s="4">
        <f t="shared" si="12"/>
        <v>3173</v>
      </c>
      <c r="M22" s="30">
        <f t="shared" si="13"/>
        <v>0.51185675108888529</v>
      </c>
      <c r="N22" s="64">
        <v>5962</v>
      </c>
      <c r="O22" s="64">
        <v>9784</v>
      </c>
      <c r="P22" s="4">
        <f t="shared" si="14"/>
        <v>3822</v>
      </c>
      <c r="Q22" s="31">
        <f t="shared" si="15"/>
        <v>0.64106004696410601</v>
      </c>
      <c r="R22" s="10"/>
      <c r="V22" s="57"/>
    </row>
    <row r="23" spans="1:22" ht="12.75" x14ac:dyDescent="0.2">
      <c r="A23" s="25" t="s">
        <v>21</v>
      </c>
      <c r="B23" s="64">
        <v>3486</v>
      </c>
      <c r="C23" s="64">
        <v>6420</v>
      </c>
      <c r="D23" s="4">
        <f t="shared" si="8"/>
        <v>2934</v>
      </c>
      <c r="E23" s="30">
        <f t="shared" si="9"/>
        <v>0.84165232358003439</v>
      </c>
      <c r="F23" s="64">
        <v>3710</v>
      </c>
      <c r="G23" s="64">
        <v>6676</v>
      </c>
      <c r="H23" s="4">
        <f t="shared" si="10"/>
        <v>2966</v>
      </c>
      <c r="I23" s="30">
        <f t="shared" si="11"/>
        <v>0.79946091644204853</v>
      </c>
      <c r="J23" s="64">
        <v>4067</v>
      </c>
      <c r="K23" s="64">
        <v>6856</v>
      </c>
      <c r="L23" s="4">
        <f t="shared" si="12"/>
        <v>2789</v>
      </c>
      <c r="M23" s="30">
        <f t="shared" si="13"/>
        <v>0.68576346201131055</v>
      </c>
      <c r="N23" s="64">
        <v>3895</v>
      </c>
      <c r="O23" s="64">
        <v>7049</v>
      </c>
      <c r="P23" s="4">
        <f t="shared" si="14"/>
        <v>3154</v>
      </c>
      <c r="Q23" s="31">
        <f t="shared" si="15"/>
        <v>0.80975609756097566</v>
      </c>
      <c r="R23" s="10"/>
    </row>
    <row r="24" spans="1:22" ht="12.75" x14ac:dyDescent="0.2">
      <c r="A24" s="25" t="s">
        <v>27</v>
      </c>
      <c r="B24" s="63">
        <f>1942+2335</f>
        <v>4277</v>
      </c>
      <c r="C24" s="63">
        <f>3141+3163</f>
        <v>6304</v>
      </c>
      <c r="D24" s="4">
        <f t="shared" si="8"/>
        <v>2027</v>
      </c>
      <c r="E24" s="30">
        <f t="shared" si="9"/>
        <v>0.47393032499415477</v>
      </c>
      <c r="F24" s="63">
        <f>1987+2338</f>
        <v>4325</v>
      </c>
      <c r="G24" s="63">
        <f>3249+3276</f>
        <v>6525</v>
      </c>
      <c r="H24" s="4">
        <f t="shared" si="10"/>
        <v>2200</v>
      </c>
      <c r="I24" s="30">
        <f t="shared" si="11"/>
        <v>0.50867052023121384</v>
      </c>
      <c r="J24" s="63">
        <f>2080+2444</f>
        <v>4524</v>
      </c>
      <c r="K24" s="63">
        <f>3296+3255</f>
        <v>6551</v>
      </c>
      <c r="L24" s="4">
        <f t="shared" si="12"/>
        <v>2027</v>
      </c>
      <c r="M24" s="30">
        <f t="shared" si="13"/>
        <v>0.44805481874447389</v>
      </c>
      <c r="N24" s="63">
        <f>2007+2349</f>
        <v>4356</v>
      </c>
      <c r="O24" s="63">
        <f>3369+3368</f>
        <v>6737</v>
      </c>
      <c r="P24" s="4">
        <f t="shared" si="14"/>
        <v>2381</v>
      </c>
      <c r="Q24" s="31">
        <f t="shared" si="15"/>
        <v>0.54660238751147838</v>
      </c>
      <c r="R24" s="10"/>
      <c r="S24" s="48"/>
      <c r="T24" s="48"/>
      <c r="U24" s="48"/>
      <c r="V24" s="49"/>
    </row>
    <row r="25" spans="1:22" ht="12.75" x14ac:dyDescent="0.2">
      <c r="A25" s="25" t="s">
        <v>22</v>
      </c>
      <c r="B25" s="64">
        <v>2115</v>
      </c>
      <c r="C25" s="64">
        <v>2833</v>
      </c>
      <c r="D25" s="4">
        <f t="shared" si="8"/>
        <v>718</v>
      </c>
      <c r="E25" s="30">
        <f t="shared" si="9"/>
        <v>0.33947990543735224</v>
      </c>
      <c r="F25" s="64">
        <v>2110</v>
      </c>
      <c r="G25" s="64">
        <v>2919</v>
      </c>
      <c r="H25" s="4">
        <f t="shared" si="10"/>
        <v>809</v>
      </c>
      <c r="I25" s="30">
        <f t="shared" si="11"/>
        <v>0.38341232227488153</v>
      </c>
      <c r="J25" s="64">
        <v>2132</v>
      </c>
      <c r="K25" s="64">
        <v>2946</v>
      </c>
      <c r="L25" s="4">
        <f t="shared" si="12"/>
        <v>814</v>
      </c>
      <c r="M25" s="30">
        <f t="shared" si="13"/>
        <v>0.38180112570356473</v>
      </c>
      <c r="N25" s="64">
        <v>2062</v>
      </c>
      <c r="O25" s="64">
        <v>3169</v>
      </c>
      <c r="P25" s="4">
        <f t="shared" si="14"/>
        <v>1107</v>
      </c>
      <c r="Q25" s="31">
        <f t="shared" si="15"/>
        <v>0.53685741998060132</v>
      </c>
      <c r="R25" s="10"/>
    </row>
    <row r="26" spans="1:22" ht="12.75" x14ac:dyDescent="0.2">
      <c r="A26" s="25" t="s">
        <v>23</v>
      </c>
      <c r="B26" s="64">
        <v>136</v>
      </c>
      <c r="C26" s="64">
        <v>241</v>
      </c>
      <c r="D26" s="4">
        <f t="shared" si="8"/>
        <v>105</v>
      </c>
      <c r="E26" s="30">
        <f t="shared" si="9"/>
        <v>0.7720588235294118</v>
      </c>
      <c r="F26" s="64">
        <v>136</v>
      </c>
      <c r="G26" s="64">
        <v>265</v>
      </c>
      <c r="H26" s="4">
        <f t="shared" si="10"/>
        <v>129</v>
      </c>
      <c r="I26" s="30">
        <f t="shared" si="11"/>
        <v>0.94852941176470584</v>
      </c>
      <c r="J26" s="64">
        <v>135</v>
      </c>
      <c r="K26" s="64">
        <v>268</v>
      </c>
      <c r="L26" s="4">
        <f t="shared" si="12"/>
        <v>133</v>
      </c>
      <c r="M26" s="30">
        <f t="shared" si="13"/>
        <v>0.98518518518518516</v>
      </c>
      <c r="N26" s="64">
        <v>130</v>
      </c>
      <c r="O26" s="64">
        <v>302</v>
      </c>
      <c r="P26" s="4">
        <f t="shared" si="14"/>
        <v>172</v>
      </c>
      <c r="Q26" s="31">
        <f t="shared" si="15"/>
        <v>1.323076923076923</v>
      </c>
      <c r="R26" s="10"/>
    </row>
    <row r="27" spans="1:22" x14ac:dyDescent="0.2">
      <c r="A27" s="21"/>
      <c r="B27" s="4"/>
      <c r="C27" s="4"/>
      <c r="D27" s="4"/>
      <c r="E27" s="30" t="s">
        <v>7</v>
      </c>
      <c r="F27" s="22"/>
      <c r="G27" s="22"/>
      <c r="H27" s="4" t="s">
        <v>7</v>
      </c>
      <c r="I27" s="30" t="s">
        <v>7</v>
      </c>
      <c r="J27" s="4"/>
      <c r="K27" s="4"/>
      <c r="L27" s="22"/>
      <c r="M27" s="22"/>
      <c r="N27" s="4"/>
      <c r="O27" s="4"/>
      <c r="P27" s="4"/>
      <c r="Q27" s="31"/>
      <c r="R27" s="10"/>
    </row>
    <row r="28" spans="1:22" x14ac:dyDescent="0.2">
      <c r="A28" s="21" t="s">
        <v>8</v>
      </c>
      <c r="B28" s="4">
        <f>SUM(B20:B27)</f>
        <v>17607</v>
      </c>
      <c r="C28" s="4">
        <f>SUM(C20:C27)</f>
        <v>29604</v>
      </c>
      <c r="D28" s="4">
        <f>C28-B28</f>
        <v>11997</v>
      </c>
      <c r="E28" s="30">
        <f>D28/B28</f>
        <v>0.68137672516612713</v>
      </c>
      <c r="F28" s="4">
        <f>SUM(F20:F27)</f>
        <v>18960</v>
      </c>
      <c r="G28" s="4">
        <f>SUM(G20:G27)</f>
        <v>31158</v>
      </c>
      <c r="H28" s="4">
        <f>G28-F28</f>
        <v>12198</v>
      </c>
      <c r="I28" s="30">
        <f>H28/F28</f>
        <v>0.64335443037974682</v>
      </c>
      <c r="J28" s="4">
        <f>SUM(J20:J27)</f>
        <v>20582</v>
      </c>
      <c r="K28" s="4">
        <f>SUM(K20:K27)</f>
        <v>32313</v>
      </c>
      <c r="L28" s="4">
        <f>K28-J28</f>
        <v>11731</v>
      </c>
      <c r="M28" s="30">
        <f>L28/J28</f>
        <v>0.56996404625400832</v>
      </c>
      <c r="N28" s="4">
        <f>SUM(N20:N26)</f>
        <v>19883</v>
      </c>
      <c r="O28" s="4">
        <f>SUM(O20:O26)</f>
        <v>33649</v>
      </c>
      <c r="P28" s="4">
        <f t="shared" si="14"/>
        <v>13766</v>
      </c>
      <c r="Q28" s="31">
        <f t="shared" si="15"/>
        <v>0.69235024895639496</v>
      </c>
      <c r="R28" s="10"/>
    </row>
    <row r="29" spans="1:22" x14ac:dyDescent="0.2">
      <c r="A29" s="2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2"/>
      <c r="R29" s="10"/>
    </row>
    <row r="30" spans="1:22" x14ac:dyDescent="0.2">
      <c r="A30" s="21"/>
      <c r="B30" s="6"/>
      <c r="C30" s="6"/>
      <c r="D30" s="5"/>
      <c r="E30" s="5"/>
      <c r="F30" s="6"/>
      <c r="G30" s="6"/>
      <c r="H30" s="5"/>
      <c r="I30" s="5"/>
      <c r="J30" s="6"/>
      <c r="K30" s="6"/>
      <c r="L30" s="5"/>
      <c r="M30" s="5"/>
      <c r="N30" s="6"/>
      <c r="O30" s="6"/>
      <c r="P30" s="5"/>
      <c r="Q30" s="32"/>
      <c r="R30" s="10"/>
    </row>
    <row r="31" spans="1:22" x14ac:dyDescent="0.2">
      <c r="A31" s="29"/>
      <c r="B31" s="5"/>
      <c r="C31" s="5"/>
      <c r="D31" s="5"/>
      <c r="E31" s="3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2"/>
      <c r="R31" s="5"/>
    </row>
    <row r="32" spans="1:22" x14ac:dyDescent="0.2">
      <c r="A32" s="34"/>
      <c r="B32" s="22" t="s">
        <v>13</v>
      </c>
      <c r="C32" s="5"/>
      <c r="D32" s="5"/>
      <c r="E32" s="5"/>
      <c r="F32" s="22" t="s">
        <v>14</v>
      </c>
      <c r="G32" s="22"/>
      <c r="H32" s="22"/>
      <c r="I32" s="22"/>
      <c r="J32" s="22" t="s">
        <v>15</v>
      </c>
      <c r="K32" s="22"/>
      <c r="L32" s="22"/>
      <c r="M32" s="22"/>
      <c r="N32" s="22" t="s">
        <v>16</v>
      </c>
      <c r="O32" s="22"/>
      <c r="P32" s="22"/>
      <c r="Q32" s="24"/>
      <c r="R32" s="10"/>
    </row>
    <row r="33" spans="1:22" ht="12.75" x14ac:dyDescent="0.2">
      <c r="A33" s="21" t="s">
        <v>26</v>
      </c>
      <c r="B33" s="63">
        <f>85+875</f>
        <v>960</v>
      </c>
      <c r="C33" s="63">
        <f>128+1766</f>
        <v>1894</v>
      </c>
      <c r="D33" s="4">
        <f>C33-B33</f>
        <v>934</v>
      </c>
      <c r="E33" s="30">
        <f t="shared" ref="E33:E39" si="16">D33/B33</f>
        <v>0.97291666666666665</v>
      </c>
      <c r="F33" s="63">
        <f>73+846</f>
        <v>919</v>
      </c>
      <c r="G33" s="63">
        <f>167+1913</f>
        <v>2080</v>
      </c>
      <c r="H33" s="4">
        <f t="shared" ref="H33:H39" si="17">G33-F33</f>
        <v>1161</v>
      </c>
      <c r="I33" s="30">
        <f t="shared" ref="I33:I39" si="18">H33/F33</f>
        <v>1.2633297062023938</v>
      </c>
      <c r="J33" s="63">
        <f>156+1381</f>
        <v>1537</v>
      </c>
      <c r="K33" s="63">
        <f>178+2099</f>
        <v>2277</v>
      </c>
      <c r="L33" s="58">
        <f t="shared" ref="L33:L39" si="19">K33-J33</f>
        <v>740</v>
      </c>
      <c r="M33" s="59">
        <f t="shared" ref="M33:M39" si="20">L33/J33</f>
        <v>0.48145738451528952</v>
      </c>
      <c r="N33" s="60">
        <f>146+1357</f>
        <v>1503</v>
      </c>
      <c r="O33" s="65">
        <f>175+2109</f>
        <v>2284</v>
      </c>
      <c r="P33" s="4">
        <f>O33-N33</f>
        <v>781</v>
      </c>
      <c r="Q33" s="31">
        <f>P33/N33</f>
        <v>0.51962741184298067</v>
      </c>
      <c r="R33" s="8"/>
    </row>
    <row r="34" spans="1:22" ht="12.75" x14ac:dyDescent="0.2">
      <c r="A34" s="21" t="s">
        <v>19</v>
      </c>
      <c r="B34" s="64">
        <v>2109</v>
      </c>
      <c r="C34" s="64">
        <v>4340</v>
      </c>
      <c r="D34" s="4">
        <f t="shared" ref="D34:D41" si="21">C34-B34</f>
        <v>2231</v>
      </c>
      <c r="E34" s="30">
        <f t="shared" si="16"/>
        <v>1.0578473210052157</v>
      </c>
      <c r="F34" s="64">
        <v>2022</v>
      </c>
      <c r="G34" s="64">
        <v>4458</v>
      </c>
      <c r="H34" s="4">
        <f t="shared" si="17"/>
        <v>2436</v>
      </c>
      <c r="I34" s="30">
        <f t="shared" si="18"/>
        <v>1.2047477744807122</v>
      </c>
      <c r="J34" s="64">
        <v>2970</v>
      </c>
      <c r="K34" s="64">
        <v>4632</v>
      </c>
      <c r="L34" s="58">
        <f t="shared" si="19"/>
        <v>1662</v>
      </c>
      <c r="M34" s="59">
        <f t="shared" si="20"/>
        <v>0.55959595959595965</v>
      </c>
      <c r="N34" s="61">
        <v>3082</v>
      </c>
      <c r="O34" s="66">
        <v>4626</v>
      </c>
      <c r="P34" s="4">
        <f t="shared" ref="P34:P39" si="22">O34-N34</f>
        <v>1544</v>
      </c>
      <c r="Q34" s="31">
        <f t="shared" ref="Q34:Q39" si="23">P34/N34</f>
        <v>0.5009733939000649</v>
      </c>
      <c r="R34" s="8"/>
      <c r="U34" s="48"/>
      <c r="V34" s="48"/>
    </row>
    <row r="35" spans="1:22" ht="12.75" x14ac:dyDescent="0.2">
      <c r="A35" s="25" t="s">
        <v>20</v>
      </c>
      <c r="B35" s="64">
        <v>4687</v>
      </c>
      <c r="C35" s="64">
        <v>8659</v>
      </c>
      <c r="D35" s="4">
        <f t="shared" si="21"/>
        <v>3972</v>
      </c>
      <c r="E35" s="30">
        <f t="shared" si="16"/>
        <v>0.84745039470876893</v>
      </c>
      <c r="F35" s="64">
        <v>4478</v>
      </c>
      <c r="G35" s="64">
        <v>8822</v>
      </c>
      <c r="H35" s="4">
        <f t="shared" si="17"/>
        <v>4344</v>
      </c>
      <c r="I35" s="30">
        <f t="shared" si="18"/>
        <v>0.97007592675301468</v>
      </c>
      <c r="J35" s="64">
        <v>6427</v>
      </c>
      <c r="K35" s="64">
        <v>9138</v>
      </c>
      <c r="L35" s="58">
        <f t="shared" si="19"/>
        <v>2711</v>
      </c>
      <c r="M35" s="59">
        <f t="shared" si="20"/>
        <v>0.42181422125408435</v>
      </c>
      <c r="N35" s="61">
        <v>6550</v>
      </c>
      <c r="O35" s="66">
        <v>9217</v>
      </c>
      <c r="P35" s="4">
        <f t="shared" si="22"/>
        <v>2667</v>
      </c>
      <c r="Q35" s="31">
        <f t="shared" si="23"/>
        <v>0.40717557251908398</v>
      </c>
      <c r="R35" s="8"/>
      <c r="V35" s="48"/>
    </row>
    <row r="36" spans="1:22" ht="12.75" x14ac:dyDescent="0.2">
      <c r="A36" s="25" t="s">
        <v>21</v>
      </c>
      <c r="B36" s="64">
        <v>3310</v>
      </c>
      <c r="C36" s="64">
        <v>6375</v>
      </c>
      <c r="D36" s="4">
        <f t="shared" si="21"/>
        <v>3065</v>
      </c>
      <c r="E36" s="30">
        <f t="shared" si="16"/>
        <v>0.92598187311178248</v>
      </c>
      <c r="F36" s="64">
        <v>3293</v>
      </c>
      <c r="G36" s="64">
        <v>6492</v>
      </c>
      <c r="H36" s="46">
        <f t="shared" si="17"/>
        <v>3199</v>
      </c>
      <c r="I36" s="47">
        <f t="shared" si="18"/>
        <v>0.97145460066808387</v>
      </c>
      <c r="J36" s="64">
        <v>5355</v>
      </c>
      <c r="K36" s="64">
        <v>6865</v>
      </c>
      <c r="L36" s="58">
        <f t="shared" si="19"/>
        <v>1510</v>
      </c>
      <c r="M36" s="59">
        <f t="shared" si="20"/>
        <v>0.28197945845004668</v>
      </c>
      <c r="N36" s="61">
        <v>5646</v>
      </c>
      <c r="O36" s="66">
        <v>7016</v>
      </c>
      <c r="P36" s="4">
        <f t="shared" si="22"/>
        <v>1370</v>
      </c>
      <c r="Q36" s="31">
        <f t="shared" si="23"/>
        <v>0.24264966347856889</v>
      </c>
      <c r="R36" s="8"/>
      <c r="V36" s="49"/>
    </row>
    <row r="37" spans="1:22" ht="12.75" x14ac:dyDescent="0.2">
      <c r="A37" s="25" t="s">
        <v>27</v>
      </c>
      <c r="B37" s="63">
        <f>1725+2121</f>
        <v>3846</v>
      </c>
      <c r="C37" s="63">
        <f>3008+3105</f>
        <v>6113</v>
      </c>
      <c r="D37" s="4">
        <f t="shared" si="21"/>
        <v>2267</v>
      </c>
      <c r="E37" s="30">
        <f t="shared" si="16"/>
        <v>0.58944357774310974</v>
      </c>
      <c r="F37" s="63">
        <v>3811</v>
      </c>
      <c r="G37" s="63">
        <f>3075+3160</f>
        <v>6235</v>
      </c>
      <c r="H37" s="4">
        <f t="shared" si="17"/>
        <v>2424</v>
      </c>
      <c r="I37" s="30">
        <f t="shared" si="18"/>
        <v>0.63605352925741276</v>
      </c>
      <c r="J37" s="63">
        <f>2661+2979</f>
        <v>5640</v>
      </c>
      <c r="K37" s="63">
        <f>3213+3303</f>
        <v>6516</v>
      </c>
      <c r="L37" s="58">
        <f t="shared" si="19"/>
        <v>876</v>
      </c>
      <c r="M37" s="59">
        <f t="shared" si="20"/>
        <v>0.15531914893617021</v>
      </c>
      <c r="N37" s="60">
        <v>5873</v>
      </c>
      <c r="O37" s="65">
        <f>3247+3327</f>
        <v>6574</v>
      </c>
      <c r="P37" s="4">
        <f t="shared" si="22"/>
        <v>701</v>
      </c>
      <c r="Q37" s="31">
        <f t="shared" si="23"/>
        <v>0.11935978205346501</v>
      </c>
      <c r="R37" s="8"/>
    </row>
    <row r="38" spans="1:22" ht="12.75" x14ac:dyDescent="0.2">
      <c r="A38" s="25" t="s">
        <v>22</v>
      </c>
      <c r="B38" s="64">
        <v>1924</v>
      </c>
      <c r="C38" s="64">
        <v>3053</v>
      </c>
      <c r="D38" s="4">
        <f t="shared" si="21"/>
        <v>1129</v>
      </c>
      <c r="E38" s="30">
        <f t="shared" si="16"/>
        <v>0.58679833679833682</v>
      </c>
      <c r="F38" s="64">
        <v>1886</v>
      </c>
      <c r="G38" s="64">
        <v>3096</v>
      </c>
      <c r="H38" s="4">
        <f t="shared" si="17"/>
        <v>1210</v>
      </c>
      <c r="I38" s="30">
        <f t="shared" si="18"/>
        <v>0.64156945917285257</v>
      </c>
      <c r="J38" s="64">
        <v>2393</v>
      </c>
      <c r="K38" s="64">
        <v>3220</v>
      </c>
      <c r="L38" s="58">
        <f t="shared" si="19"/>
        <v>827</v>
      </c>
      <c r="M38" s="59">
        <f t="shared" si="20"/>
        <v>0.34559130798161303</v>
      </c>
      <c r="N38" s="61">
        <v>2456</v>
      </c>
      <c r="O38" s="66">
        <v>3330</v>
      </c>
      <c r="P38" s="4">
        <f t="shared" si="22"/>
        <v>874</v>
      </c>
      <c r="Q38" s="31">
        <f t="shared" si="23"/>
        <v>0.35586319218241041</v>
      </c>
      <c r="R38" s="8"/>
    </row>
    <row r="39" spans="1:22" ht="12.75" x14ac:dyDescent="0.2">
      <c r="A39" s="25" t="s">
        <v>23</v>
      </c>
      <c r="B39" s="64">
        <v>132</v>
      </c>
      <c r="C39" s="64">
        <v>284</v>
      </c>
      <c r="D39" s="4">
        <f t="shared" si="21"/>
        <v>152</v>
      </c>
      <c r="E39" s="30">
        <f t="shared" si="16"/>
        <v>1.1515151515151516</v>
      </c>
      <c r="F39" s="64">
        <v>135</v>
      </c>
      <c r="G39" s="64">
        <v>304</v>
      </c>
      <c r="H39" s="4">
        <f t="shared" si="17"/>
        <v>169</v>
      </c>
      <c r="I39" s="30">
        <f t="shared" si="18"/>
        <v>1.2518518518518518</v>
      </c>
      <c r="J39" s="64">
        <v>173</v>
      </c>
      <c r="K39" s="64">
        <v>321</v>
      </c>
      <c r="L39" s="58">
        <f t="shared" si="19"/>
        <v>148</v>
      </c>
      <c r="M39" s="59">
        <f t="shared" si="20"/>
        <v>0.8554913294797688</v>
      </c>
      <c r="N39" s="61">
        <v>175</v>
      </c>
      <c r="O39" s="66">
        <v>335</v>
      </c>
      <c r="P39" s="4">
        <f t="shared" si="22"/>
        <v>160</v>
      </c>
      <c r="Q39" s="31">
        <f t="shared" si="23"/>
        <v>0.91428571428571426</v>
      </c>
      <c r="R39" s="8"/>
    </row>
    <row r="40" spans="1:22" x14ac:dyDescent="0.2">
      <c r="A40" s="21"/>
      <c r="B40" s="4"/>
      <c r="C40" s="4"/>
      <c r="D40" s="4"/>
      <c r="E40" s="30" t="s">
        <v>7</v>
      </c>
      <c r="F40" s="4"/>
      <c r="G40" s="4"/>
      <c r="H40" s="4" t="s">
        <v>7</v>
      </c>
      <c r="I40" s="30" t="s">
        <v>7</v>
      </c>
      <c r="J40" s="22"/>
      <c r="K40" s="22"/>
      <c r="L40" s="4" t="s">
        <v>17</v>
      </c>
      <c r="M40" s="30" t="s">
        <v>7</v>
      </c>
      <c r="N40" s="4"/>
      <c r="O40" s="4"/>
      <c r="P40" s="4" t="s">
        <v>7</v>
      </c>
      <c r="Q40" s="31" t="s">
        <v>7</v>
      </c>
      <c r="R40" s="8"/>
    </row>
    <row r="41" spans="1:22" x14ac:dyDescent="0.2">
      <c r="A41" s="21" t="s">
        <v>8</v>
      </c>
      <c r="B41" s="4">
        <f>SUM(B33:B40)</f>
        <v>16968</v>
      </c>
      <c r="C41" s="4">
        <f>SUM(C33:C40)</f>
        <v>30718</v>
      </c>
      <c r="D41" s="4">
        <f t="shared" si="21"/>
        <v>13750</v>
      </c>
      <c r="E41" s="30">
        <f>D41/B41</f>
        <v>0.8103488920320604</v>
      </c>
      <c r="F41" s="4">
        <f>SUM(F33:F40)</f>
        <v>16544</v>
      </c>
      <c r="G41" s="4">
        <f>SUM(G33:G40)</f>
        <v>31487</v>
      </c>
      <c r="H41" s="4">
        <f>G41-F41</f>
        <v>14943</v>
      </c>
      <c r="I41" s="30">
        <f>H41/F41</f>
        <v>0.90322775628626695</v>
      </c>
      <c r="J41" s="4">
        <f>SUM(J33:J40)</f>
        <v>24495</v>
      </c>
      <c r="K41" s="4">
        <f>SUM(K33:K40)</f>
        <v>32969</v>
      </c>
      <c r="L41" s="4">
        <f>K41-J41</f>
        <v>8474</v>
      </c>
      <c r="M41" s="30">
        <f>L41/J41</f>
        <v>0.34594815268422124</v>
      </c>
      <c r="N41" s="4">
        <f>SUM(N33:N40)</f>
        <v>25285</v>
      </c>
      <c r="O41" s="4">
        <f>SUM(O33:O40)</f>
        <v>33382</v>
      </c>
      <c r="P41" s="4">
        <f>O41-N41</f>
        <v>8097</v>
      </c>
      <c r="Q41" s="31">
        <f>P41/N41</f>
        <v>0.320229385010876</v>
      </c>
      <c r="R41" s="8"/>
    </row>
    <row r="42" spans="1:22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4"/>
      <c r="R42" s="8"/>
    </row>
    <row r="43" spans="1:22" x14ac:dyDescent="0.2">
      <c r="A43" s="21"/>
      <c r="B43" s="6"/>
      <c r="C43" s="6"/>
      <c r="D43" s="22"/>
      <c r="E43" s="22"/>
      <c r="F43" s="6"/>
      <c r="G43" s="6"/>
      <c r="H43" s="22"/>
      <c r="I43" s="22"/>
      <c r="J43" s="6"/>
      <c r="K43" s="6"/>
      <c r="L43" s="22"/>
      <c r="M43" s="22"/>
      <c r="N43" s="6"/>
      <c r="O43" s="6"/>
      <c r="P43" s="22"/>
      <c r="Q43" s="24"/>
      <c r="R43" s="8"/>
    </row>
    <row r="44" spans="1:22" x14ac:dyDescent="0.2">
      <c r="A44" s="29"/>
      <c r="B44" s="5"/>
      <c r="C44" s="6"/>
      <c r="D44" s="22"/>
      <c r="E44" s="22"/>
      <c r="F44" s="6"/>
      <c r="G44" s="45"/>
      <c r="H44" s="22"/>
      <c r="I44" s="22"/>
      <c r="J44" s="22"/>
      <c r="K44" s="22"/>
      <c r="L44" s="22"/>
      <c r="M44" s="22"/>
      <c r="N44" s="6"/>
      <c r="O44" s="6"/>
      <c r="P44" s="22"/>
      <c r="Q44" s="24"/>
      <c r="R44" s="8"/>
    </row>
    <row r="45" spans="1:22" x14ac:dyDescent="0.2">
      <c r="A45" s="34"/>
      <c r="B45" s="70" t="s">
        <v>25</v>
      </c>
      <c r="C45" s="70"/>
      <c r="D45" s="70"/>
      <c r="E45" s="70"/>
      <c r="F45" s="5"/>
      <c r="G45" s="57"/>
      <c r="H45" s="52"/>
      <c r="I45" s="45"/>
      <c r="J45" s="5"/>
      <c r="K45" s="5"/>
      <c r="L45" s="5"/>
      <c r="M45" s="5"/>
      <c r="N45" s="5"/>
      <c r="O45" s="5"/>
      <c r="P45" s="5"/>
      <c r="Q45" s="32"/>
      <c r="R45" s="10"/>
    </row>
    <row r="46" spans="1:22" x14ac:dyDescent="0.2">
      <c r="A46" s="21" t="s">
        <v>26</v>
      </c>
      <c r="B46" s="62">
        <f>(B7+F7+J7+N7+B20+F20+J20+N20+B33+F33+J33+N33)/12</f>
        <v>1257</v>
      </c>
      <c r="C46" s="62">
        <f>(C7+G7+K7+O7+C20+G20+K20+O20+C33+G33+K33+O33)/12</f>
        <v>1871</v>
      </c>
      <c r="D46" s="4">
        <f t="shared" ref="D46:D52" si="24">C46-B46</f>
        <v>614</v>
      </c>
      <c r="E46" s="30">
        <f t="shared" ref="E46:E54" si="25">D46/B46</f>
        <v>0.4884645982498011</v>
      </c>
      <c r="F46" s="50"/>
      <c r="G46" s="50"/>
      <c r="H46" s="50"/>
      <c r="I46" s="4"/>
      <c r="J46" s="5"/>
      <c r="K46" s="5"/>
      <c r="L46" s="5"/>
      <c r="M46" s="5"/>
      <c r="N46" s="5"/>
      <c r="O46" s="5"/>
      <c r="P46" s="5"/>
      <c r="Q46" s="32"/>
      <c r="R46" s="10"/>
    </row>
    <row r="47" spans="1:22" x14ac:dyDescent="0.2">
      <c r="A47" s="21" t="s">
        <v>19</v>
      </c>
      <c r="B47" s="62">
        <f t="shared" ref="B47:B52" si="26">(B8+F8+J8+N8+B21+F21+J21+N21+B34+F34+J34+N34)/12</f>
        <v>2768.25</v>
      </c>
      <c r="C47" s="62">
        <f t="shared" ref="C47:C52" si="27">(C8+G8+K8+O8+C21+G21+K21+O21+C34+G34+K34+O34)/12</f>
        <v>4080</v>
      </c>
      <c r="D47" s="4">
        <f t="shared" si="24"/>
        <v>1311.75</v>
      </c>
      <c r="E47" s="30">
        <f t="shared" si="25"/>
        <v>0.47385532376049849</v>
      </c>
      <c r="F47" s="50"/>
      <c r="G47" s="50"/>
      <c r="H47" s="50"/>
      <c r="I47" s="5"/>
      <c r="J47" s="5"/>
      <c r="K47" s="5"/>
      <c r="L47" s="5"/>
      <c r="M47" s="5"/>
      <c r="N47" s="5"/>
      <c r="O47" s="5"/>
      <c r="P47" s="5"/>
      <c r="Q47" s="32"/>
      <c r="R47" s="10"/>
    </row>
    <row r="48" spans="1:22" x14ac:dyDescent="0.2">
      <c r="A48" s="25" t="s">
        <v>20</v>
      </c>
      <c r="B48" s="62">
        <f t="shared" si="26"/>
        <v>6043.083333333333</v>
      </c>
      <c r="C48" s="62">
        <f t="shared" si="27"/>
        <v>8310.4166666666661</v>
      </c>
      <c r="D48" s="4">
        <f t="shared" si="24"/>
        <v>2267.333333333333</v>
      </c>
      <c r="E48" s="30">
        <f t="shared" si="25"/>
        <v>0.37519478191320654</v>
      </c>
      <c r="F48" s="50"/>
      <c r="G48" s="50"/>
      <c r="H48" s="50"/>
      <c r="I48" s="5"/>
      <c r="J48" s="5"/>
      <c r="K48" s="5"/>
      <c r="L48" s="5"/>
      <c r="M48" s="5"/>
      <c r="N48" s="5"/>
      <c r="O48" s="5"/>
      <c r="P48" s="5"/>
      <c r="Q48" s="32"/>
      <c r="R48" s="10"/>
    </row>
    <row r="49" spans="1:21" x14ac:dyDescent="0.2">
      <c r="A49" s="25" t="s">
        <v>21</v>
      </c>
      <c r="B49" s="62">
        <f t="shared" si="26"/>
        <v>4616.75</v>
      </c>
      <c r="C49" s="62">
        <f t="shared" si="27"/>
        <v>6447.083333333333</v>
      </c>
      <c r="D49" s="4">
        <f t="shared" si="24"/>
        <v>1830.333333333333</v>
      </c>
      <c r="E49" s="30">
        <f t="shared" si="25"/>
        <v>0.39645493763650469</v>
      </c>
      <c r="F49" s="50"/>
      <c r="G49" s="50"/>
      <c r="H49" s="50"/>
      <c r="I49" s="5"/>
      <c r="J49" s="5"/>
      <c r="K49" s="5"/>
      <c r="L49" s="5"/>
      <c r="M49" s="5"/>
      <c r="N49" s="5"/>
      <c r="O49" s="5"/>
      <c r="P49" s="5"/>
      <c r="Q49" s="32"/>
      <c r="R49" s="10"/>
      <c r="U49" s="48"/>
    </row>
    <row r="50" spans="1:21" x14ac:dyDescent="0.2">
      <c r="A50" s="25" t="s">
        <v>27</v>
      </c>
      <c r="B50" s="62">
        <f t="shared" si="26"/>
        <v>5155.916666666667</v>
      </c>
      <c r="C50" s="62">
        <f t="shared" si="27"/>
        <v>6287</v>
      </c>
      <c r="D50" s="4">
        <f t="shared" si="24"/>
        <v>1131.083333333333</v>
      </c>
      <c r="E50" s="30">
        <f t="shared" si="25"/>
        <v>0.21937579803138782</v>
      </c>
      <c r="F50" s="50"/>
      <c r="G50" s="50"/>
      <c r="H50" s="50"/>
      <c r="I50" s="5"/>
      <c r="J50" s="5"/>
      <c r="K50" s="5"/>
      <c r="L50" s="5"/>
      <c r="M50" s="5"/>
      <c r="N50" s="5"/>
      <c r="O50" s="5"/>
      <c r="P50" s="5"/>
      <c r="Q50" s="32"/>
      <c r="R50" s="10"/>
      <c r="U50" s="48"/>
    </row>
    <row r="51" spans="1:21" x14ac:dyDescent="0.2">
      <c r="A51" s="25" t="s">
        <v>22</v>
      </c>
      <c r="B51" s="62">
        <f t="shared" si="26"/>
        <v>2324.8333333333335</v>
      </c>
      <c r="C51" s="62">
        <f t="shared" si="27"/>
        <v>2920</v>
      </c>
      <c r="D51" s="4">
        <f t="shared" si="24"/>
        <v>595.16666666666652</v>
      </c>
      <c r="E51" s="30">
        <f t="shared" si="25"/>
        <v>0.25600401462470418</v>
      </c>
      <c r="F51" s="50"/>
      <c r="G51" s="50"/>
      <c r="H51" s="50"/>
      <c r="I51" s="5"/>
      <c r="J51" s="5"/>
      <c r="K51" s="5"/>
      <c r="L51" s="5"/>
      <c r="M51" s="5"/>
      <c r="N51" s="5"/>
      <c r="O51" s="5"/>
      <c r="P51" s="5"/>
      <c r="Q51" s="32"/>
      <c r="R51" s="10"/>
      <c r="U51" s="48"/>
    </row>
    <row r="52" spans="1:21" x14ac:dyDescent="0.2">
      <c r="A52" s="25" t="s">
        <v>23</v>
      </c>
      <c r="B52" s="62">
        <f t="shared" si="26"/>
        <v>154.91666666666666</v>
      </c>
      <c r="C52" s="62">
        <f t="shared" si="27"/>
        <v>256</v>
      </c>
      <c r="D52" s="4">
        <f t="shared" si="24"/>
        <v>101.08333333333334</v>
      </c>
      <c r="E52" s="30">
        <f t="shared" si="25"/>
        <v>0.65250134480903721</v>
      </c>
      <c r="F52" s="50"/>
      <c r="G52" s="50"/>
      <c r="H52" s="50"/>
      <c r="I52" s="5"/>
      <c r="J52" s="5"/>
      <c r="K52" s="5"/>
      <c r="L52" s="5"/>
      <c r="M52" s="5"/>
      <c r="N52" s="5"/>
      <c r="O52" s="5"/>
      <c r="P52" s="5"/>
      <c r="Q52" s="32"/>
      <c r="R52" s="10"/>
    </row>
    <row r="53" spans="1:21" x14ac:dyDescent="0.2">
      <c r="A53" s="21"/>
      <c r="B53" s="4"/>
      <c r="C53" s="4"/>
      <c r="D53" s="4"/>
      <c r="E53" s="30"/>
      <c r="F53" s="50"/>
      <c r="G53" s="50"/>
      <c r="H53" s="50"/>
      <c r="I53" s="5"/>
      <c r="J53" s="5"/>
      <c r="K53" s="5"/>
      <c r="L53" s="5"/>
      <c r="M53" s="5"/>
      <c r="N53" s="5"/>
      <c r="O53" s="5"/>
      <c r="P53" s="5"/>
      <c r="Q53" s="32"/>
      <c r="R53" s="10"/>
    </row>
    <row r="54" spans="1:21" x14ac:dyDescent="0.2">
      <c r="A54" s="21" t="s">
        <v>8</v>
      </c>
      <c r="B54" s="4">
        <f>(B15+F15+J15+N15+B28+F28+J28+N28+B41+F41+J41+N41)/12</f>
        <v>22320.75</v>
      </c>
      <c r="C54" s="4">
        <f>(C15+G15+K15+O15+C28+G28+K28+O28+C41+G41+K41+O41)/12</f>
        <v>30171.5</v>
      </c>
      <c r="D54" s="4">
        <f>C54-B54</f>
        <v>7850.75</v>
      </c>
      <c r="E54" s="30">
        <f t="shared" si="25"/>
        <v>0.35172429241848951</v>
      </c>
      <c r="F54" s="50"/>
      <c r="G54" s="50"/>
      <c r="H54" s="51"/>
      <c r="I54" s="5"/>
      <c r="J54" s="5"/>
      <c r="K54" s="5"/>
      <c r="L54" s="5"/>
      <c r="M54" s="5"/>
      <c r="N54" s="5"/>
      <c r="O54" s="5"/>
      <c r="P54" s="5"/>
      <c r="Q54" s="32"/>
      <c r="R54" s="10"/>
    </row>
    <row r="55" spans="1:21" x14ac:dyDescent="0.2">
      <c r="A55" s="21"/>
      <c r="B55" s="4"/>
      <c r="C55" s="4"/>
      <c r="D55" s="4"/>
      <c r="E55" s="22"/>
      <c r="F55" s="22"/>
      <c r="G55" s="22"/>
      <c r="H55" s="5"/>
      <c r="I55" s="5"/>
      <c r="J55" s="5"/>
      <c r="K55" s="5"/>
      <c r="L55" s="5"/>
      <c r="M55" s="5"/>
      <c r="N55" s="5"/>
      <c r="O55" s="5"/>
      <c r="P55" s="5"/>
      <c r="Q55" s="32"/>
      <c r="R55" s="10"/>
    </row>
    <row r="56" spans="1:21" x14ac:dyDescent="0.2">
      <c r="A56" s="21"/>
      <c r="B56" s="6"/>
      <c r="C56" s="6"/>
      <c r="D56" s="22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2"/>
      <c r="R56" s="10"/>
    </row>
    <row r="57" spans="1:21" ht="12" thickBot="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10"/>
    </row>
    <row r="58" spans="1:21" ht="12.75" customHeight="1" x14ac:dyDescent="0.2">
      <c r="A58" s="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10"/>
    </row>
    <row r="59" spans="1:21" ht="12.75" customHeight="1" x14ac:dyDescent="0.2">
      <c r="A59" s="2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43"/>
    </row>
    <row r="60" spans="1:21" ht="12.75" customHeight="1" x14ac:dyDescent="0.2">
      <c r="A60" s="10"/>
      <c r="B60" s="8"/>
      <c r="C60" s="8"/>
      <c r="D60" s="8"/>
      <c r="E60" s="8"/>
      <c r="F60" s="8"/>
      <c r="G60" s="67"/>
      <c r="H60" s="67"/>
      <c r="I60" s="8"/>
      <c r="J60" s="8"/>
      <c r="K60" s="44"/>
      <c r="L60" s="44"/>
      <c r="M60" s="44"/>
      <c r="N60" s="44"/>
      <c r="O60" s="40"/>
      <c r="P60" s="40"/>
      <c r="Q60" s="5"/>
      <c r="R60" s="5"/>
    </row>
    <row r="61" spans="1:21" ht="12.75" customHeight="1" x14ac:dyDescent="0.2">
      <c r="A61" s="10"/>
      <c r="B61" s="35"/>
      <c r="C61" s="35"/>
      <c r="D61" s="35"/>
      <c r="E61" s="35"/>
      <c r="F61" s="35"/>
      <c r="G61" s="35"/>
      <c r="H61" s="35"/>
      <c r="I61" s="35"/>
      <c r="J61" s="10"/>
      <c r="K61" s="10"/>
      <c r="L61" s="10"/>
      <c r="M61" s="10"/>
      <c r="N61" s="10"/>
      <c r="O61" s="10"/>
      <c r="P61" s="10"/>
      <c r="Q61" s="10"/>
      <c r="R61" s="10"/>
    </row>
    <row r="62" spans="1:21" ht="12.75" customHeight="1" x14ac:dyDescent="0.2">
      <c r="A62" s="10"/>
      <c r="B62" s="55"/>
      <c r="C62" s="55"/>
      <c r="D62" s="8"/>
      <c r="E62" s="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1"/>
    </row>
    <row r="63" spans="1:21" x14ac:dyDescent="0.2">
      <c r="A63" s="10"/>
      <c r="B63" s="8"/>
      <c r="C63" s="8"/>
      <c r="D63" s="8"/>
      <c r="E63" s="8"/>
      <c r="F63" s="8"/>
      <c r="G63" s="67"/>
      <c r="H63" s="67"/>
      <c r="I63" s="8"/>
      <c r="J63" s="8"/>
      <c r="K63" s="8"/>
      <c r="L63" s="68"/>
      <c r="M63" s="68"/>
      <c r="N63" s="68"/>
      <c r="O63" s="68"/>
      <c r="P63" s="11"/>
      <c r="Q63" s="10"/>
      <c r="R63" s="42"/>
    </row>
    <row r="64" spans="1:21" x14ac:dyDescent="0.2">
      <c r="A64" s="10"/>
      <c r="B64" s="8"/>
      <c r="C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1:18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1:18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1:18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1:18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1:18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1:18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1:18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1:18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1:18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1:18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1:18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1:18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1:18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1:18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1:18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1:18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1:18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1:18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1:18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1:18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1:18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1:18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1:18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1:18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1:18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1:18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1:18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1:18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1:18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1:18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1:18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1:18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1:18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1:18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1:18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1:18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1:18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1:18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1:18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1:18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</row>
    <row r="1259" spans="1:18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</row>
    <row r="1260" spans="1:18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</row>
    <row r="1261" spans="1:18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</row>
    <row r="1262" spans="1:18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</row>
    <row r="1263" spans="1:18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x14ac:dyDescent="0.2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1:18" x14ac:dyDescent="0.2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</row>
    <row r="1272" spans="1:18" x14ac:dyDescent="0.2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1:18" x14ac:dyDescent="0.2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</row>
    <row r="1274" spans="1:18" x14ac:dyDescent="0.2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</row>
    <row r="1275" spans="1:18" x14ac:dyDescent="0.2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</row>
    <row r="1276" spans="1:18" x14ac:dyDescent="0.2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</row>
    <row r="1277" spans="1:18" x14ac:dyDescent="0.2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</row>
    <row r="1278" spans="1:18" x14ac:dyDescent="0.2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</row>
    <row r="1279" spans="1:18" x14ac:dyDescent="0.2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</row>
    <row r="1280" spans="1:18" x14ac:dyDescent="0.2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</row>
    <row r="1281" spans="1:18" x14ac:dyDescent="0.2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</row>
    <row r="1282" spans="1:18" x14ac:dyDescent="0.2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</row>
    <row r="1283" spans="1:18" x14ac:dyDescent="0.2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</row>
    <row r="1284" spans="1:18" x14ac:dyDescent="0.2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</row>
    <row r="1285" spans="1:18" x14ac:dyDescent="0.2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x14ac:dyDescent="0.2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x14ac:dyDescent="0.2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x14ac:dyDescent="0.2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x14ac:dyDescent="0.2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x14ac:dyDescent="0.2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x14ac:dyDescent="0.2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x14ac:dyDescent="0.2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</row>
    <row r="1293" spans="1:18" x14ac:dyDescent="0.2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</row>
    <row r="1294" spans="1:18" x14ac:dyDescent="0.2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</row>
    <row r="1295" spans="1:18" x14ac:dyDescent="0.2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</row>
    <row r="1296" spans="1:18" x14ac:dyDescent="0.2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</row>
    <row r="1297" spans="1:18" x14ac:dyDescent="0.2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</row>
    <row r="1298" spans="1:18" x14ac:dyDescent="0.2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</row>
    <row r="1299" spans="1:18" x14ac:dyDescent="0.2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</row>
    <row r="1300" spans="1:18" x14ac:dyDescent="0.2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</row>
    <row r="1301" spans="1:18" x14ac:dyDescent="0.2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</row>
    <row r="1302" spans="1:18" x14ac:dyDescent="0.2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</row>
    <row r="1303" spans="1:18" x14ac:dyDescent="0.2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</row>
    <row r="1304" spans="1:18" x14ac:dyDescent="0.2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</row>
    <row r="1305" spans="1:18" x14ac:dyDescent="0.2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</row>
    <row r="1306" spans="1:18" x14ac:dyDescent="0.2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</row>
    <row r="1307" spans="1:18" x14ac:dyDescent="0.2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x14ac:dyDescent="0.2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x14ac:dyDescent="0.2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x14ac:dyDescent="0.2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x14ac:dyDescent="0.2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x14ac:dyDescent="0.2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x14ac:dyDescent="0.2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x14ac:dyDescent="0.2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</row>
  </sheetData>
  <mergeCells count="5">
    <mergeCell ref="G63:H63"/>
    <mergeCell ref="L63:O63"/>
    <mergeCell ref="B59:Q59"/>
    <mergeCell ref="B45:E45"/>
    <mergeCell ref="G60:H60"/>
  </mergeCells>
  <phoneticPr fontId="0" type="noConversion"/>
  <printOptions gridLines="1"/>
  <pageMargins left="0.35433070866141736" right="0.35433070866141736" top="0.39370078740157483" bottom="0.59055118110236227" header="0.51181102362204722" footer="0.51181102362204722"/>
  <pageSetup paperSize="9" scale="80" orientation="portrait" r:id="rId1"/>
  <headerFooter alignWithMargins="0"/>
  <rowBreaks count="1" manualBreakCount="1">
    <brk id="64" max="20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2021-08-16T07:29:16Z</cp:lastPrinted>
  <dcterms:created xsi:type="dcterms:W3CDTF">2003-03-03T07:53:36Z</dcterms:created>
  <dcterms:modified xsi:type="dcterms:W3CDTF">2021-08-16T07:29:23Z</dcterms:modified>
</cp:coreProperties>
</file>